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48" i="6" l="1"/>
  <c r="B43" i="6"/>
  <c r="B38" i="6"/>
  <c r="B33" i="6"/>
  <c r="B28" i="6"/>
  <c r="B23" i="6"/>
  <c r="B17" i="6"/>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5" i="5"/>
  <c r="C5" i="5"/>
  <c r="V5" i="5" s="1"/>
  <c r="B6" i="5"/>
  <c r="C6" i="5"/>
  <c r="V6" i="5" s="1"/>
  <c r="B7" i="5"/>
  <c r="C7" i="5"/>
  <c r="V7" i="5" s="1"/>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I5" i="5"/>
  <c r="J7"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c r="B59" i="6"/>
  <c r="G59" i="6" s="1"/>
  <c r="B58" i="6"/>
  <c r="G58" i="6"/>
  <c r="B56" i="6"/>
  <c r="G56" i="6" s="1"/>
  <c r="B55" i="6"/>
  <c r="G55" i="6"/>
  <c r="B54" i="6"/>
  <c r="G54" i="6" s="1"/>
  <c r="B53" i="6"/>
  <c r="G53" i="6"/>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21" i="6" l="1"/>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C10" i="6" s="1"/>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C11" i="6" s="1"/>
  <c r="D4" i="8"/>
  <c r="B8" i="4"/>
  <c r="A4" i="6" s="1"/>
  <c r="C29" i="3"/>
  <c r="G3" i="5"/>
  <c r="A1" i="6"/>
  <c r="I9" i="6"/>
  <c r="I16" i="6"/>
  <c r="K4" i="5"/>
  <c r="Q4" i="5"/>
  <c r="D4" i="5"/>
  <c r="J41" i="6"/>
  <c r="J52" i="6"/>
  <c r="J55" i="6"/>
  <c r="C3" i="6"/>
  <c r="J8" i="6"/>
  <c r="C8" i="6" s="1"/>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C7" i="6" s="1"/>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C13" i="6" s="1"/>
  <c r="A72" i="2"/>
  <c r="B12" i="4"/>
  <c r="A19" i="2"/>
  <c r="I7" i="6"/>
  <c r="B3" i="6"/>
  <c r="I33" i="6"/>
  <c r="B25" i="4"/>
  <c r="A14" i="6" s="1"/>
  <c r="M4" i="5"/>
  <c r="J56" i="6"/>
  <c r="J26" i="6"/>
  <c r="J5" i="6"/>
  <c r="C5" i="6" s="1"/>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5" i="5"/>
  <c r="T5" i="5"/>
  <c r="B45" i="6" l="1"/>
  <c r="G20" i="6"/>
  <c r="H20" i="6" s="1"/>
  <c r="B25" i="6"/>
  <c r="F25" i="6"/>
  <c r="B40" i="6"/>
  <c r="F26" i="6"/>
  <c r="B30" i="6"/>
  <c r="F41" i="6"/>
  <c r="B41" i="6"/>
  <c r="F63" i="6"/>
  <c r="F36" i="6"/>
  <c r="G21" i="6"/>
  <c r="H21" i="6" s="1"/>
  <c r="B26" i="6"/>
  <c r="B36" i="6"/>
  <c r="B46" i="6"/>
  <c r="G46" i="6" s="1"/>
  <c r="G31" i="6"/>
  <c r="H22" i="6"/>
  <c r="D22" i="6" s="1"/>
  <c r="G47" i="6"/>
  <c r="G42" i="6"/>
  <c r="G40" i="6"/>
  <c r="G26" i="6"/>
  <c r="H26" i="6" s="1"/>
  <c r="C26" i="6" s="1"/>
  <c r="K65" i="6"/>
  <c r="C65" i="6" s="1"/>
  <c r="G27" i="6"/>
  <c r="G32" i="6"/>
  <c r="G45" i="6"/>
  <c r="G43" i="6"/>
  <c r="G38" i="6"/>
  <c r="G35" i="6"/>
  <c r="G28" i="6"/>
  <c r="G33" i="6"/>
  <c r="G41" i="6"/>
  <c r="H41" i="6" s="1"/>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D20" i="6" l="1"/>
  <c r="K62" i="6"/>
  <c r="C62" i="6" s="1"/>
  <c r="F45" i="6"/>
  <c r="H45" i="6" s="1"/>
  <c r="F62" i="6"/>
  <c r="B2" i="6" s="1"/>
  <c r="F40" i="6"/>
  <c r="F35" i="6"/>
  <c r="F30" i="6"/>
  <c r="H30" i="6" s="1"/>
  <c r="H35" i="6"/>
  <c r="D35" i="6" s="1"/>
  <c r="H40" i="6"/>
  <c r="D40" i="6" s="1"/>
  <c r="H31" i="6"/>
  <c r="D31" i="6" s="1"/>
  <c r="F46" i="6"/>
  <c r="H46" i="6" s="1"/>
  <c r="F31" i="6"/>
  <c r="C20" i="6"/>
  <c r="D21" i="6"/>
  <c r="C21" i="6"/>
  <c r="K63" i="6"/>
  <c r="C63" i="6" s="1"/>
  <c r="D26" i="6"/>
  <c r="H32" i="6"/>
  <c r="C32" i="6" s="1"/>
  <c r="C22" i="6"/>
  <c r="C35" i="6"/>
  <c r="C41" i="6"/>
  <c r="D41"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C30" i="6" l="1"/>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<sst xmlns="http://schemas.openxmlformats.org/spreadsheetml/2006/main" count="21597" uniqueCount="15425">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</sst>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0"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0" fillId="0" borderId="0" xfId="502" applyFont="1" applyFill="1" applyAlignment="1">
      <alignment horizontal="justify" vertical="top"/>
    </xf>
    <xf numFmtId="0" fontId="97" fillId="0" borderId="0" xfId="502" applyFont="1" applyFill="1" applyBorder="1" applyAlignment="1">
      <alignment horizontal="left" vertical="top" wrapText="1"/>
    </xf>
    <xf numFmtId="0" fontId="121" fillId="0" borderId="0" xfId="502" applyFont="1" applyFill="1" applyBorder="1" applyAlignment="1">
      <alignment horizontal="left" vertical="top" wrapText="1"/>
    </xf>
    <xf numFmtId="0" fontId="120"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4" fillId="0" borderId="0" xfId="527" applyFont="1" applyFill="1" applyAlignment="1">
      <alignment horizontal="left" vertical="top" wrapText="1"/>
    </xf>
    <xf numFmtId="164" fontId="6" fillId="0" borderId="0" xfId="480"/>
    <xf numFmtId="0" fontId="116"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67.5">
      <c r="A47" s="354"/>
      <c r="B47" s="208">
        <v>5.0999999999999996</v>
      </c>
      <c r="C47" s="191" t="s">
        <v>2961</v>
      </c>
      <c r="D47" s="209">
        <v>43070</v>
      </c>
      <c r="E47" s="220" t="s">
        <v>14293</v>
      </c>
      <c r="F47" s="37" t="s">
        <v>14294</v>
      </c>
      <c r="G47" s="34"/>
    </row>
    <row r="48" spans="1:7" ht="56.2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9"/>
      <c r="I37" s="419"/>
      <c r="J37" s="419"/>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c r="E71" s="376"/>
      <c r="F71" s="69"/>
      <c r="G71" s="391"/>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c r="E79" s="430"/>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77" sqref="A577:XFD57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f ca="1">IF(H67=0,"0",H67)</f>
        <v>50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f>Declaration!D8</f>
        <v>0</v>
      </c>
      <c r="C4" s="106" t="str">
        <f t="shared" ref="C4:C9" ca="1" si="0">IF(H4=1,J4,I4)</f>
        <v>Provide your company name on the Declaration tab cell D8</v>
      </c>
      <c r="D4" s="112" t="str">
        <f>IF(H4=1,"Click here to enter Company Name","")</f>
        <v>Click here to enter Company Name</v>
      </c>
      <c r="E4" s="88" t="s">
        <v>1452</v>
      </c>
      <c r="F4" s="110">
        <v>1</v>
      </c>
      <c r="G4" s="85">
        <f t="shared" ref="G4:G9" si="1">IF(B4=0,1,0)</f>
        <v>1</v>
      </c>
      <c r="H4" s="86">
        <f>F4*G4</f>
        <v>1</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f>Declaration!D9</f>
        <v>0</v>
      </c>
      <c r="C5" s="106" t="str">
        <f t="shared" ca="1" si="0"/>
        <v>Select the scope of declaration on the Declaration tab cell D9</v>
      </c>
      <c r="D5" s="112" t="str">
        <f>IF(H5=1,"Click here to enter Declaration Scope","")</f>
        <v>Click here to enter Declaration Scope</v>
      </c>
      <c r="E5" s="88" t="s">
        <v>1452</v>
      </c>
      <c r="F5" s="110">
        <v>1</v>
      </c>
      <c r="G5" s="85">
        <f t="shared" si="1"/>
        <v>1</v>
      </c>
      <c r="H5" s="86">
        <f t="shared" ref="H5:H23" si="2">F5*G5</f>
        <v>1</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f>Declaration!D15</f>
        <v>0</v>
      </c>
      <c r="C7" s="106" t="str">
        <f t="shared" ca="1" si="0"/>
        <v>Provide contact name in Declaration tab cell D15</v>
      </c>
      <c r="D7" s="112" t="str">
        <f>IF(H7=1,"Click here to enter Contact Name","")</f>
        <v>Click here to enter Contact Name</v>
      </c>
      <c r="E7" s="88" t="s">
        <v>1452</v>
      </c>
      <c r="F7" s="154">
        <v>1</v>
      </c>
      <c r="G7" s="85">
        <f t="shared" si="1"/>
        <v>1</v>
      </c>
      <c r="H7" s="86">
        <f t="shared" si="2"/>
        <v>1</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f>Declaration!D16</f>
        <v>0</v>
      </c>
      <c r="C8" s="106" t="str">
        <f t="shared" ca="1" si="0"/>
        <v>Provide a valid email for contact in Declaration tab cell D16</v>
      </c>
      <c r="D8" s="112" t="str">
        <f>IF(H8=1,"Click here to enter Email-Contact","")</f>
        <v>Click here to enter Email-Contact</v>
      </c>
      <c r="E8" s="88" t="s">
        <v>1452</v>
      </c>
      <c r="F8" s="154">
        <v>1</v>
      </c>
      <c r="G8" s="85">
        <f>IF(ISNUMBER(SEARCH("@",B8)),0,1)</f>
        <v>1</v>
      </c>
      <c r="H8" s="86">
        <f t="shared" si="2"/>
        <v>1</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f>Declaration!D17</f>
        <v>0</v>
      </c>
      <c r="C9" s="106" t="str">
        <f t="shared" ca="1" si="0"/>
        <v>Provide a phone number for contact in Declaration tab cell D17</v>
      </c>
      <c r="D9" s="112" t="str">
        <f>IF(H9=1,"Click here to enter Phone-Contact","")</f>
        <v>Click here to enter Phone-Contact</v>
      </c>
      <c r="E9" s="88" t="s">
        <v>1452</v>
      </c>
      <c r="F9" s="154">
        <v>1</v>
      </c>
      <c r="G9" s="85">
        <f t="shared" si="1"/>
        <v>1</v>
      </c>
      <c r="H9" s="86">
        <f t="shared" si="2"/>
        <v>1</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f>Declaration!D18</f>
        <v>0</v>
      </c>
      <c r="C10" s="106" t="str">
        <f t="shared" ref="C10:C61" ca="1" si="3">IF(H10=1,J10,I10)</f>
        <v>Provide authorized company representative contact name in Declaration tab cell D18</v>
      </c>
      <c r="D10" s="112" t="str">
        <f>IF(H10=1,"Click here to enter an Authorized Company Representative's name","")</f>
        <v>Click here to enter an Authorized Company Representative's name</v>
      </c>
      <c r="E10" s="88" t="s">
        <v>1452</v>
      </c>
      <c r="F10" s="110">
        <v>1</v>
      </c>
      <c r="G10" s="85">
        <f t="shared" ref="G10:G23" si="4">IF(B10=0,1,0)</f>
        <v>1</v>
      </c>
      <c r="H10" s="86">
        <f t="shared" si="2"/>
        <v>1</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f>Declaration!D20</f>
        <v>0</v>
      </c>
      <c r="C11" s="106" t="str">
        <f t="shared" ca="1" si="3"/>
        <v>Provide an email for authorized company representative on Declaration tab cell D20</v>
      </c>
      <c r="D11" s="112" t="str">
        <f>IF(H11=1,"Click here to enter Representative's email","")</f>
        <v>Click here to enter Representative's email</v>
      </c>
      <c r="E11" s="88" t="s">
        <v>1452</v>
      </c>
      <c r="F11" s="110">
        <v>1</v>
      </c>
      <c r="G11" s="85">
        <f>IF(ISNUMBER(SEARCH("@",B11)),0,1)</f>
        <v>1</v>
      </c>
      <c r="H11" s="86">
        <f t="shared" si="2"/>
        <v>1</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f>Declaration!D21</f>
        <v>0</v>
      </c>
      <c r="C12" s="106" t="str">
        <f ca="1">IF(H12=1,J12,I12)</f>
        <v>Provide a phone number for authorized company representative on Declaration tab cell D21</v>
      </c>
      <c r="D12" s="112" t="str">
        <f>IF(H12=1,"Click here to enter Representative's phone","")</f>
        <v>Click here to enter Representative's phone</v>
      </c>
      <c r="E12" s="88" t="s">
        <v>1452</v>
      </c>
      <c r="F12" s="110">
        <v>1</v>
      </c>
      <c r="G12" s="85">
        <f>IF(B12=0,1,0)</f>
        <v>1</v>
      </c>
      <c r="H12" s="86">
        <f>F12*G12</f>
        <v>1</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0</v>
      </c>
      <c r="C13" s="106" t="str">
        <f t="shared" ca="1" si="3"/>
        <v>Provide date the form was completed on Declaration tab cell D22</v>
      </c>
      <c r="D13" s="112" t="str">
        <f>IF(H13=1,"Click here to enter Date of Completion","")</f>
        <v>Click here to enter Date of Completion</v>
      </c>
      <c r="E13" s="88" t="s">
        <v>1452</v>
      </c>
      <c r="F13" s="110">
        <v>1</v>
      </c>
      <c r="G13" s="85">
        <f t="shared" si="4"/>
        <v>1</v>
      </c>
      <c r="H13" s="86">
        <f t="shared" si="2"/>
        <v>1</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f>Declaration!D26</f>
        <v>0</v>
      </c>
      <c r="C15" s="106" t="str">
        <f t="shared" ca="1" si="3"/>
        <v>Declare if Tantalum is intentionally added to your products on Declaration tab cell D26</v>
      </c>
      <c r="D15" s="112" t="str">
        <f>IF(H15=1,"Click here to answer question 1 for Tantalum","")</f>
        <v>Click here to answer question 1 for Tantalum</v>
      </c>
      <c r="E15" s="88" t="s">
        <v>929</v>
      </c>
      <c r="F15" s="110">
        <v>1</v>
      </c>
      <c r="G15" s="85">
        <f t="shared" si="4"/>
        <v>1</v>
      </c>
      <c r="H15" s="86">
        <f t="shared" si="2"/>
        <v>1</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f>Declaration!D27</f>
        <v>0</v>
      </c>
      <c r="C16" s="106" t="str">
        <f t="shared" ca="1" si="3"/>
        <v>Declare if Tin is intentionally added to your products on Declaration tab cell D27</v>
      </c>
      <c r="D16" s="112" t="str">
        <f>IF(H16=1,"Click here to answer question 1 for Tin","")</f>
        <v>Click here to answer question 1 for Tin</v>
      </c>
      <c r="E16" s="88" t="s">
        <v>930</v>
      </c>
      <c r="F16" s="110">
        <v>1</v>
      </c>
      <c r="G16" s="85">
        <f t="shared" si="4"/>
        <v>1</v>
      </c>
      <c r="H16" s="86">
        <f t="shared" si="2"/>
        <v>1</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f>Declaration!D28</f>
        <v>0</v>
      </c>
      <c r="C17" s="106" t="str">
        <f t="shared" ca="1" si="3"/>
        <v>Declare if Gold is intentionally added to your products on Declaration tab cell D28</v>
      </c>
      <c r="D17" s="112" t="str">
        <f>IF(H17=1,"Click here to answer question 1 for Gold","")</f>
        <v>Click here to answer question 1 for Gold</v>
      </c>
      <c r="E17" s="88" t="s">
        <v>930</v>
      </c>
      <c r="F17" s="110">
        <v>1</v>
      </c>
      <c r="G17" s="85">
        <f t="shared" si="4"/>
        <v>1</v>
      </c>
      <c r="H17" s="86">
        <f t="shared" si="2"/>
        <v>1</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f>Declaration!D29</f>
        <v>0</v>
      </c>
      <c r="C18" s="106" t="str">
        <f t="shared" ca="1" si="3"/>
        <v>Declare if Tungsten is intentionally added to your products on Declaration tab cell D29</v>
      </c>
      <c r="D18" s="112" t="str">
        <f>IF(H18=1,"Click here to answer question 1 for Tungsten","")</f>
        <v>Click here to answer question 1 for Tungsten</v>
      </c>
      <c r="E18" s="88" t="s">
        <v>930</v>
      </c>
      <c r="F18" s="110">
        <v>1</v>
      </c>
      <c r="G18" s="85">
        <f t="shared" si="4"/>
        <v>1</v>
      </c>
      <c r="H18" s="86">
        <f t="shared" si="2"/>
        <v>1</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f>IF($B$15="Yes",Declaration!D32,0)</f>
        <v>0</v>
      </c>
      <c r="C20" s="106" t="str">
        <f t="shared" ca="1" si="3"/>
        <v>Declare if Tantalum is necessary to the production of your products and contained within the finished products declared in Declaration tab cell D32</v>
      </c>
      <c r="D20" s="114" t="str">
        <f>IF(H20=1,"Click here to answer question 2 for Tantalum","")</f>
        <v>Click here to answer question 2 for Tantalum</v>
      </c>
      <c r="E20" s="88" t="s">
        <v>930</v>
      </c>
      <c r="F20" s="111">
        <f>IF(B$15="No",0,1)</f>
        <v>1</v>
      </c>
      <c r="G20" s="85">
        <f t="shared" si="4"/>
        <v>1</v>
      </c>
      <c r="H20" s="86">
        <f t="shared" si="2"/>
        <v>1</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f>IF($B$16="Yes",Declaration!D33,0)</f>
        <v>0</v>
      </c>
      <c r="C21" s="106" t="str">
        <f t="shared" ca="1" si="3"/>
        <v>Declare if Tin is necessary to the production of your products and contained within the finished products declared in Declaration tab cell D33</v>
      </c>
      <c r="D21" s="114" t="str">
        <f>IF(H21=1,"Click here to answer question 2 for Tin","")</f>
        <v>Click here to answer question 2 for Tin</v>
      </c>
      <c r="E21" s="88" t="s">
        <v>930</v>
      </c>
      <c r="F21" s="111">
        <f>IF(B$16="No",0,1)</f>
        <v>1</v>
      </c>
      <c r="G21" s="85">
        <f t="shared" si="4"/>
        <v>1</v>
      </c>
      <c r="H21" s="86">
        <f t="shared" si="2"/>
        <v>1</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f>IF($B$17="Yes",Declaration!D34,0)</f>
        <v>0</v>
      </c>
      <c r="C22" s="106" t="str">
        <f t="shared" ca="1" si="3"/>
        <v>Declare if Gold is necessary to the production of your products and contained within the finished products declared in Declaration tab cell D34</v>
      </c>
      <c r="D22" s="114" t="str">
        <f>IF(H22=1,"Click here to answer question 2 for Gold","")</f>
        <v>Click here to answer question 2 for Gold</v>
      </c>
      <c r="E22" s="88" t="s">
        <v>930</v>
      </c>
      <c r="F22" s="111">
        <f>IF(B$17="No",0,1)</f>
        <v>1</v>
      </c>
      <c r="G22" s="85">
        <f t="shared" si="4"/>
        <v>1</v>
      </c>
      <c r="H22" s="86">
        <f t="shared" si="2"/>
        <v>1</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f>IF($B$18="Yes",Declaration!D35,0)</f>
        <v>0</v>
      </c>
      <c r="C23" s="106" t="str">
        <f t="shared" ca="1" si="3"/>
        <v>Declare if Tungsten is necessary to the production of your products and contained within the finished products declared in Declaration tab cell D35</v>
      </c>
      <c r="D23" s="114" t="str">
        <f>IF(H23=1,"Click here to answer question 2 for Tungsten","")</f>
        <v>Click here to answer question 2 for Tungsten</v>
      </c>
      <c r="E23" s="88" t="s">
        <v>930</v>
      </c>
      <c r="F23" s="111">
        <f>IF(B$18="No",0,1)</f>
        <v>1</v>
      </c>
      <c r="G23" s="85">
        <f t="shared" si="4"/>
        <v>1</v>
      </c>
      <c r="H23" s="86">
        <f t="shared" si="2"/>
        <v>1</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Tantalum  (*)</v>
      </c>
      <c r="B25" s="106">
        <f>IF(AND($B$15="Yes",$B$20="Yes"),Declaration!D38,0)</f>
        <v>0</v>
      </c>
      <c r="C25" s="106" t="str">
        <f t="shared" ca="1" si="3"/>
        <v>Declare if Tantalum used within the scope of products declared within this survey response originated from the DRC or an adjoining Country on the Declaration tab cell D38</v>
      </c>
      <c r="D25" s="114" t="str">
        <f>IF(H25=1,"Click here to answer question 3 for Tantalum","")</f>
        <v>Click here to answer question 3 for Tantalum</v>
      </c>
      <c r="E25" s="88" t="s">
        <v>930</v>
      </c>
      <c r="F25" s="111">
        <f>IF(OR(B15="No",B20="No"),0,1)</f>
        <v>1</v>
      </c>
      <c r="G25" s="85">
        <f t="shared" ref="G25:G60" si="5">IF(B25=0,1,0)</f>
        <v>1</v>
      </c>
      <c r="H25" s="86">
        <f t="shared" ref="H25:H65" si="6">F25*G25</f>
        <v>1</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f>IF(AND($B$16="Yes",$B$21="Yes"),Declaration!D39,0)</f>
        <v>0</v>
      </c>
      <c r="C26" s="106" t="str">
        <f t="shared" ca="1" si="3"/>
        <v>Declare if Tin used within the scope of products declared within this survey response originated from the DRC or an adjoining Country on the Declaration tab cell D39</v>
      </c>
      <c r="D26" s="114" t="str">
        <f>IF(H26=1,"Click here to answer question 3 for Tin","")</f>
        <v>Click here to answer question 3 for Tin</v>
      </c>
      <c r="E26" s="88" t="s">
        <v>930</v>
      </c>
      <c r="F26" s="111">
        <f>IF(OR(B16="No",B21="No"),0,1)</f>
        <v>1</v>
      </c>
      <c r="G26" s="85">
        <f t="shared" si="5"/>
        <v>1</v>
      </c>
      <c r="H26" s="86">
        <f t="shared" si="6"/>
        <v>1</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f>IF(AND($B$17="Yes",$B$22="Yes"),Declaration!D40,0)</f>
        <v>0</v>
      </c>
      <c r="C27" s="106" t="str">
        <f t="shared" ca="1" si="3"/>
        <v>Declare if Gold used within the scope of products declared within this survey response originated from the DRC or an adjoining Country on the Declaration tab cell D40</v>
      </c>
      <c r="D27" s="114" t="str">
        <f>IF(H27=1,"Click here to answer question 3 for Gold","")</f>
        <v>Click here to answer question 3 for Gold</v>
      </c>
      <c r="E27" s="88" t="s">
        <v>930</v>
      </c>
      <c r="F27" s="111">
        <f>IF(OR(B17="No",B22="No"),0,1)</f>
        <v>1</v>
      </c>
      <c r="G27" s="85">
        <f t="shared" si="5"/>
        <v>1</v>
      </c>
      <c r="H27" s="86">
        <f t="shared" si="6"/>
        <v>1</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f>IF(AND($B$18="Yes",$B$23="Yes"),Declaration!D41,0)</f>
        <v>0</v>
      </c>
      <c r="C28" s="106" t="str">
        <f t="shared" ca="1" si="3"/>
        <v>Declare if Tungsten used within the scope of products declared within this survey response originated from the DRC or an adjoining Country on the Declaration tab cell D41</v>
      </c>
      <c r="D28" s="114" t="str">
        <f>IF(H28=1,"Click here to answer question 3 for Tungsten","")</f>
        <v>Click here to answer question 3 for Tungsten</v>
      </c>
      <c r="E28" s="88" t="s">
        <v>930</v>
      </c>
      <c r="F28" s="111">
        <f>IF(OR(B18="No",B23="No"),0,1)</f>
        <v>1</v>
      </c>
      <c r="G28" s="85">
        <f t="shared" si="5"/>
        <v>1</v>
      </c>
      <c r="H28" s="86">
        <f t="shared" si="6"/>
        <v>1</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Tantalum  (*)</v>
      </c>
      <c r="B30" s="106">
        <f>IF(AND($B$15="Yes",$B$20="Yes"),Declaration!D44,0)</f>
        <v>0</v>
      </c>
      <c r="C30" s="106" t="str">
        <f ca="1">IF(H30=1,J30,I30)</f>
        <v>Declare if Tantalum used within the scope of products declared within this survey response originated entirely from a recycled or scrap source on the Declaration tab cell D44</v>
      </c>
      <c r="D30" s="114" t="str">
        <f>IF(H30=1,"Click here to answer question 4 for Tantalum","")</f>
        <v>Click here to answer question 4 for Tantalum</v>
      </c>
      <c r="E30" s="88" t="s">
        <v>1452</v>
      </c>
      <c r="F30" s="111">
        <f>F25</f>
        <v>1</v>
      </c>
      <c r="G30" s="85">
        <f>IF(B30=0,1,0)</f>
        <v>1</v>
      </c>
      <c r="H30" s="86">
        <f>F30*G30</f>
        <v>1</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f>IF(AND($B$16="Yes",$B$21="Yes"),Declaration!D45,0)</f>
        <v>0</v>
      </c>
      <c r="C31" s="106" t="str">
        <f ca="1">IF(H31=1,J31,I31)</f>
        <v>Declare if Tin used within the scope of products declared within this survey response originated entirely from a recycled or scrap source on the Declaration tab cell D45</v>
      </c>
      <c r="D31" s="114" t="str">
        <f>IF(H31=1,"Click here to answer question 4 for Tin","")</f>
        <v>Click here to answer question 4 for Tin</v>
      </c>
      <c r="E31" s="88" t="s">
        <v>1452</v>
      </c>
      <c r="F31" s="111">
        <f>F26</f>
        <v>1</v>
      </c>
      <c r="G31" s="85">
        <f>IF(B31=0,1,0)</f>
        <v>1</v>
      </c>
      <c r="H31" s="86">
        <f>F31*G31</f>
        <v>1</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f>IF(AND($B$17="Yes",$B$22="Yes"),Declaration!D46,0)</f>
        <v>0</v>
      </c>
      <c r="C32" s="106" t="str">
        <f ca="1">IF(H32=1,J32,I32)</f>
        <v>Declare if Gold used within the scope of products declared within this survey response originated entirely from a recycled or scrap source on the Declaration tab cell D46</v>
      </c>
      <c r="D32" s="114" t="str">
        <f>IF(H32=1,"Click here to answer question 4 for Gold","")</f>
        <v>Click here to answer question 4 for Gold</v>
      </c>
      <c r="E32" s="88" t="s">
        <v>1452</v>
      </c>
      <c r="F32" s="111">
        <f>F27</f>
        <v>1</v>
      </c>
      <c r="G32" s="85">
        <f>IF(B32=0,1,0)</f>
        <v>1</v>
      </c>
      <c r="H32" s="86">
        <f>F32*G32</f>
        <v>1</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f>IF(AND($B$18="Yes",$B$23="Yes"),Declaration!D47,0)</f>
        <v>0</v>
      </c>
      <c r="C33" s="106" t="str">
        <f ca="1">IF(H33=1,J33,I33)</f>
        <v>Declare if Tungsten used within the scope of products declared within this survey response originated entirely from a recycled or scrap source on the Declaration tab cell D47</v>
      </c>
      <c r="D33" s="114" t="str">
        <f>IF(H33=1,"Click here to answer question 4 for Tungsten","")</f>
        <v>Click here to answer question 4 for Tungsten</v>
      </c>
      <c r="E33" s="88" t="s">
        <v>1452</v>
      </c>
      <c r="F33" s="111">
        <f>F28</f>
        <v>1</v>
      </c>
      <c r="G33" s="85">
        <f>IF(B33=0,1,0)</f>
        <v>1</v>
      </c>
      <c r="H33" s="86">
        <f>F33*G33</f>
        <v>1</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0</v>
      </c>
      <c r="C35" s="106" t="str">
        <f t="shared" ca="1" si="3"/>
        <v>Provide % of completeness of supplier's smelter information on Declaration tab cell D50</v>
      </c>
      <c r="D35" s="112" t="str">
        <f>IF(H35=1,"Click here to answer question 5 for Tantalum","")</f>
        <v>Click here to answer question 5 for Tantalum</v>
      </c>
      <c r="E35" s="88" t="s">
        <v>929</v>
      </c>
      <c r="F35" s="111">
        <f>F25</f>
        <v>1</v>
      </c>
      <c r="G35" s="85">
        <f t="shared" si="5"/>
        <v>1</v>
      </c>
      <c r="H35" s="86">
        <f t="shared" si="6"/>
        <v>1</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0</v>
      </c>
      <c r="C36" s="106" t="str">
        <f ca="1">IF(H36=1,J36,I36)</f>
        <v>Provide % of completeness of supplier's smelter information on Declaration tab cell D51</v>
      </c>
      <c r="D36" s="112" t="str">
        <f>IF(H36=1,"Click here to answer question 5 for Tin","")</f>
        <v>Click here to answer question 5 for Tin</v>
      </c>
      <c r="E36" s="88" t="s">
        <v>929</v>
      </c>
      <c r="F36" s="111">
        <f>F26</f>
        <v>1</v>
      </c>
      <c r="G36" s="85">
        <f t="shared" si="5"/>
        <v>1</v>
      </c>
      <c r="H36" s="86">
        <f t="shared" si="6"/>
        <v>1</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0</v>
      </c>
      <c r="C37" s="106" t="str">
        <f t="shared" ca="1" si="3"/>
        <v>Provide % of completeness of supplier's smelter information on Declaration tab cell D52</v>
      </c>
      <c r="D37" s="112" t="str">
        <f>IF(H37=1,"Click here to answer question 5 for Gold","")</f>
        <v>Click here to answer question 5 for Gold</v>
      </c>
      <c r="E37" s="88" t="s">
        <v>929</v>
      </c>
      <c r="F37" s="111">
        <f>F27</f>
        <v>1</v>
      </c>
      <c r="G37" s="85">
        <f t="shared" si="5"/>
        <v>1</v>
      </c>
      <c r="H37" s="86">
        <f t="shared" si="6"/>
        <v>1</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0</v>
      </c>
      <c r="C38" s="106" t="str">
        <f t="shared" ca="1" si="3"/>
        <v>Provide % of completeness of supplier's smelter information on Declaration tab cell D53</v>
      </c>
      <c r="D38" s="112" t="str">
        <f>IF(H38=1,"Click here to answer question 5 for Tungsten","")</f>
        <v>Click here to answer question 5 for Tungsten</v>
      </c>
      <c r="E38" s="88" t="s">
        <v>929</v>
      </c>
      <c r="F38" s="111">
        <f>F28</f>
        <v>1</v>
      </c>
      <c r="G38" s="85">
        <f t="shared" si="5"/>
        <v>1</v>
      </c>
      <c r="H38" s="86">
        <f t="shared" si="6"/>
        <v>1</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f>IF(AND($B$15="Yes",$B$20="Yes"),Declaration!D56,0)</f>
        <v>0</v>
      </c>
      <c r="C40" s="106" t="str">
        <f t="shared" ca="1" si="3"/>
        <v>Declare if all smelter names have been provided in this survey response under the scope of products declared on the Declaration tab cell D56</v>
      </c>
      <c r="D40" s="114" t="str">
        <f>IF(H40=1,"Click here to answer question 6 for Tantalum","")</f>
        <v>Click here to answer question 6 for Tantalum</v>
      </c>
      <c r="E40" s="88" t="s">
        <v>1448</v>
      </c>
      <c r="F40" s="111">
        <f>F25</f>
        <v>1</v>
      </c>
      <c r="G40" s="85">
        <f t="shared" si="5"/>
        <v>1</v>
      </c>
      <c r="H40" s="86">
        <f t="shared" si="6"/>
        <v>1</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f>IF(AND($B$16="Yes",$B$21="Yes"),Declaration!D57,0)</f>
        <v>0</v>
      </c>
      <c r="C41" s="106" t="str">
        <f t="shared" ca="1" si="3"/>
        <v>Declare if all smelter names have been provided in this survey response under the scope of products declared on the Declaration tab cell D57</v>
      </c>
      <c r="D41" s="114" t="str">
        <f>IF(H41=1,"Click here to answer question 6 for Tin","")</f>
        <v>Click here to answer question 6 for Tin</v>
      </c>
      <c r="E41" s="88" t="s">
        <v>1448</v>
      </c>
      <c r="F41" s="111">
        <f>F26</f>
        <v>1</v>
      </c>
      <c r="G41" s="85">
        <f t="shared" si="5"/>
        <v>1</v>
      </c>
      <c r="H41" s="86">
        <f t="shared" si="6"/>
        <v>1</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f>IF(AND($B$17="Yes",$B$22="Yes"),Declaration!D58,0)</f>
        <v>0</v>
      </c>
      <c r="C42" s="106" t="str">
        <f t="shared" ca="1" si="3"/>
        <v>Declare if all smelter names have been provided in this survey response under the scope of products declared on the Declaration tab cell D58</v>
      </c>
      <c r="D42" s="114" t="str">
        <f>IF(H42=1,"Click here to answer question 6 for Gold","")</f>
        <v>Click here to answer question 6 for Gold</v>
      </c>
      <c r="E42" s="88" t="s">
        <v>1448</v>
      </c>
      <c r="F42" s="111">
        <f>F27</f>
        <v>1</v>
      </c>
      <c r="G42" s="85">
        <f t="shared" si="5"/>
        <v>1</v>
      </c>
      <c r="H42" s="86">
        <f t="shared" si="6"/>
        <v>1</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f>IF(AND($B$18="Yes",$B$23="Yes"),Declaration!D59,0)</f>
        <v>0</v>
      </c>
      <c r="C43" s="106" t="str">
        <f t="shared" ca="1" si="3"/>
        <v>Declare if all smelter names have been provided in this survey response which the scope of products declared on the Declaration tab cell D59</v>
      </c>
      <c r="D43" s="114" t="str">
        <f>IF(H43=1,"Click here to answer question 6 for Tungsten","")</f>
        <v>Click here to answer question 6 for Tungsten</v>
      </c>
      <c r="E43" s="88" t="s">
        <v>1448</v>
      </c>
      <c r="F43" s="111">
        <f>F28</f>
        <v>1</v>
      </c>
      <c r="G43" s="85">
        <f t="shared" si="5"/>
        <v>1</v>
      </c>
      <c r="H43" s="86">
        <f t="shared" si="6"/>
        <v>1</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f>IF(AND($B$15="Yes",$B$20="Yes"),Declaration!D62,0)</f>
        <v>0</v>
      </c>
      <c r="C45" s="106" t="str">
        <f t="shared" ca="1" si="3"/>
        <v>Declare if all applicable Tantalum smelter information has been provided on Declaration tab cell D62</v>
      </c>
      <c r="D45" s="115" t="str">
        <f>IF(H45=1,"Click here to answer question 7 for Tantalum","")</f>
        <v>Click here to answer question 7 for Tantalum</v>
      </c>
      <c r="E45" s="88" t="s">
        <v>930</v>
      </c>
      <c r="F45" s="111">
        <f>F25</f>
        <v>1</v>
      </c>
      <c r="G45" s="85">
        <f t="shared" si="5"/>
        <v>1</v>
      </c>
      <c r="H45" s="86">
        <f t="shared" si="6"/>
        <v>1</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f>IF(AND($B$16="Yes",$B$21="Yes"),Declaration!D63,0)</f>
        <v>0</v>
      </c>
      <c r="C46" s="106" t="str">
        <f t="shared" ca="1" si="3"/>
        <v>Declare if all applicable Tin smelter information has been provided on Declaration tab cell D63</v>
      </c>
      <c r="D46" s="115" t="str">
        <f>IF(H46=1,"Click here to answer question 7 for Tin","")</f>
        <v>Click here to answer question 7 for Tin</v>
      </c>
      <c r="E46" s="88" t="s">
        <v>930</v>
      </c>
      <c r="F46" s="111">
        <f>F26</f>
        <v>1</v>
      </c>
      <c r="G46" s="85">
        <f t="shared" si="5"/>
        <v>1</v>
      </c>
      <c r="H46" s="86">
        <f t="shared" si="6"/>
        <v>1</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f>IF(AND($B$17="Yes",$B$22="Yes"),Declaration!D64,0)</f>
        <v>0</v>
      </c>
      <c r="C47" s="106" t="str">
        <f t="shared" ca="1" si="3"/>
        <v>Declare if all applicable Gold smelter information has been provided on Declaration tab cell D64</v>
      </c>
      <c r="D47" s="115" t="str">
        <f>IF(H47=1,"Click here to answer question 7 for Gold","")</f>
        <v>Click here to answer question 7 for Gold</v>
      </c>
      <c r="E47" s="88" t="s">
        <v>930</v>
      </c>
      <c r="F47" s="111">
        <f>F27</f>
        <v>1</v>
      </c>
      <c r="G47" s="85">
        <f t="shared" si="5"/>
        <v>1</v>
      </c>
      <c r="H47" s="86">
        <f t="shared" si="6"/>
        <v>1</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f>IF(AND($B$18="Yes",$B$23="Yes"),Declaration!D65,0)</f>
        <v>0</v>
      </c>
      <c r="C48" s="106" t="str">
        <f t="shared" ca="1" si="3"/>
        <v>Declare if all applicable Tungsten smelter information has been provided on Declaration tab cell D65</v>
      </c>
      <c r="D48" s="115" t="str">
        <f>IF(H48=1,"Click here to answer question 7 for Tungsten","")</f>
        <v>Click here to answer question 7 for Tungsten</v>
      </c>
      <c r="E48" s="88" t="s">
        <v>930</v>
      </c>
      <c r="F48" s="111">
        <f>F28</f>
        <v>1</v>
      </c>
      <c r="G48" s="85">
        <f t="shared" si="5"/>
        <v>1</v>
      </c>
      <c r="H48" s="86">
        <f t="shared" si="6"/>
        <v>1</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f>Declaration!D69</f>
        <v>0</v>
      </c>
      <c r="C50" s="106" t="str">
        <f t="shared" ca="1" si="3"/>
        <v>Answer if your company has a DRC conflict-free sourcing policy on the Declaration tab cell D69</v>
      </c>
      <c r="D50" s="112" t="str">
        <f>IF(H50=1,"Click here to answer question (A)","")</f>
        <v>Click here to answer question (A)</v>
      </c>
      <c r="E50" s="88" t="s">
        <v>1452</v>
      </c>
      <c r="F50" s="111">
        <f>IF(SUM(F$25:F$28)=0,0,1)</f>
        <v>1</v>
      </c>
      <c r="G50" s="85">
        <f t="shared" si="5"/>
        <v>1</v>
      </c>
      <c r="H50" s="86">
        <f t="shared" si="6"/>
        <v>1</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f>Declaration!D71</f>
        <v>0</v>
      </c>
      <c r="C51" s="106" t="str">
        <f t="shared" ca="1" si="3"/>
        <v>Answer if your company has made your DRC conflict-free sourcing policy publically available on your website on the Declaration tab cell D71</v>
      </c>
      <c r="D51" s="112" t="str">
        <f>IF(H51=1,"Click here to answer question (B)","")</f>
        <v>Click here to answer question (B)</v>
      </c>
      <c r="E51" s="88" t="s">
        <v>1452</v>
      </c>
      <c r="F51" s="111">
        <f t="shared" ref="F51:F60" si="7">F$50</f>
        <v>1</v>
      </c>
      <c r="G51" s="85">
        <f t="shared" si="5"/>
        <v>1</v>
      </c>
      <c r="H51" s="86">
        <f t="shared" si="6"/>
        <v>1</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f>Declaration!D73</f>
        <v>0</v>
      </c>
      <c r="C53" s="106" t="str">
        <f t="shared" ca="1" si="3"/>
        <v>Answer if you require your direct suppliers to be DRC conflict-free on the Declaration tab cell D73</v>
      </c>
      <c r="D53" s="112" t="str">
        <f>IF(H53=1,"Click here to answer question (C)","")</f>
        <v>Click here to answer question (C)</v>
      </c>
      <c r="E53" s="88" t="s">
        <v>1452</v>
      </c>
      <c r="F53" s="111">
        <f t="shared" si="7"/>
        <v>1</v>
      </c>
      <c r="G53" s="85">
        <f t="shared" si="5"/>
        <v>1</v>
      </c>
      <c r="H53" s="86">
        <f t="shared" si="6"/>
        <v>1</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f>Declaration!D75</f>
        <v>0</v>
      </c>
      <c r="C54" s="106" t="str">
        <f ca="1">IF(H54=1,J54,I54)</f>
        <v>Answer if you require your direct suppliers to source from smelters validated as DRC conflict-free using the Responsible Minerals Assurance Process conformant smelter list on Declaration tab cell D75</v>
      </c>
      <c r="D54" s="112" t="str">
        <f>IF(H54=1,"Click here to answer question (D)","")</f>
        <v>Click here to answer question (D)</v>
      </c>
      <c r="E54" s="88" t="s">
        <v>1452</v>
      </c>
      <c r="F54" s="111">
        <f t="shared" si="7"/>
        <v>1</v>
      </c>
      <c r="G54" s="85">
        <f t="shared" si="5"/>
        <v>1</v>
      </c>
      <c r="H54" s="86">
        <f t="shared" si="6"/>
        <v>1</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f>Declaration!D77</f>
        <v>0</v>
      </c>
      <c r="C55" s="106" t="str">
        <f t="shared" ca="1" si="3"/>
        <v>Answer if you have implemented conflict-free minerals sourcing due diligence measures on Declaration tab cell D77</v>
      </c>
      <c r="D55" s="112" t="str">
        <f>IF(H55=1,"Click here to answer question (E)","")</f>
        <v>Click here to answer question (E)</v>
      </c>
      <c r="E55" s="88" t="s">
        <v>1452</v>
      </c>
      <c r="F55" s="111">
        <f t="shared" si="7"/>
        <v>1</v>
      </c>
      <c r="G55" s="85">
        <f t="shared" si="5"/>
        <v>1</v>
      </c>
      <c r="H55" s="86">
        <f t="shared" si="6"/>
        <v>1</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f>Declaration!D79</f>
        <v>0</v>
      </c>
      <c r="C56" s="106" t="str">
        <f t="shared" ca="1" si="3"/>
        <v>Answer if you request your suppliers to fill out this Conflict Minerals Reporting Template on Declaration tab cell D79</v>
      </c>
      <c r="D56" s="112" t="str">
        <f>IF(H56=1,"Click here to answer question (F)","")</f>
        <v>Click here to answer question (F)</v>
      </c>
      <c r="E56" s="88" t="s">
        <v>1452</v>
      </c>
      <c r="F56" s="111">
        <f t="shared" si="7"/>
        <v>1</v>
      </c>
      <c r="G56" s="85">
        <f t="shared" si="5"/>
        <v>1</v>
      </c>
      <c r="H56" s="86">
        <f t="shared" si="6"/>
        <v>1</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f>Declaration!D81</f>
        <v>0</v>
      </c>
      <c r="C58" s="106" t="str">
        <f t="shared" ca="1" si="3"/>
        <v>Answer if you verify responses from your suppliers against your company's expectations on Declaration tab cell D83</v>
      </c>
      <c r="D58" s="112" t="str">
        <f>IF(H58=1,"Click here to answer question (G)","")</f>
        <v>Click here to answer question (G)</v>
      </c>
      <c r="E58" s="88" t="s">
        <v>1452</v>
      </c>
      <c r="F58" s="111">
        <f t="shared" si="7"/>
        <v>1</v>
      </c>
      <c r="G58" s="85">
        <f t="shared" si="5"/>
        <v>1</v>
      </c>
      <c r="H58" s="86">
        <f t="shared" si="6"/>
        <v>1</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f>Declaration!D83</f>
        <v>0</v>
      </c>
      <c r="C59" s="106" t="str">
        <f t="shared" ca="1" si="3"/>
        <v>Answer if your verification process includes corrective action management on Declaration tab cell D85</v>
      </c>
      <c r="D59" s="112" t="str">
        <f>IF(H59=1,"Click here to answer question (H)","")</f>
        <v>Click here to answer question (H)</v>
      </c>
      <c r="E59" s="88" t="s">
        <v>1452</v>
      </c>
      <c r="F59" s="111">
        <f t="shared" si="7"/>
        <v>1</v>
      </c>
      <c r="G59" s="85">
        <f t="shared" si="5"/>
        <v>1</v>
      </c>
      <c r="H59" s="86">
        <f t="shared" si="6"/>
        <v>1</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f>Declaration!D85</f>
        <v>0</v>
      </c>
      <c r="C60" s="106" t="str">
        <f t="shared" ca="1" si="3"/>
        <v>Answer if you are subject to the SEC Disclosure requirement on Declaration tab cell D87</v>
      </c>
      <c r="D60" s="112" t="str">
        <f>IF(H60=1,"Click here to answer question (I)","")</f>
        <v>Click here to answer question (I)</v>
      </c>
      <c r="E60" s="88" t="s">
        <v>1452</v>
      </c>
      <c r="F60" s="111">
        <f t="shared" si="7"/>
        <v>1</v>
      </c>
      <c r="G60" s="85">
        <f t="shared" si="5"/>
        <v>1</v>
      </c>
      <c r="H60" s="86">
        <f t="shared" si="6"/>
        <v>1</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Please answer Question 1 / Question 2 on Declaration tab</v>
      </c>
      <c r="D62" s="112" t="str">
        <f>IF(H62=0,"","Click here to provide smelter information")</f>
        <v>Click here to provide smelter information</v>
      </c>
      <c r="E62" s="88" t="s">
        <v>1452</v>
      </c>
      <c r="F62" s="111">
        <f>F25</f>
        <v>1</v>
      </c>
      <c r="G62" s="85">
        <f>IF(AND(COUNTIF(SmelterIdetifiedForMetal,"Tantalum")&gt;0,COUNTIF('Smelter List'!AB$5:AB$2493,"Tantalum?*")&gt;0),0,1)</f>
        <v>1</v>
      </c>
      <c r="H62" s="86">
        <f t="shared" si="6"/>
        <v>1</v>
      </c>
      <c r="I62" s="189" t="str">
        <f ca="1">OFFSET(L!$C$1,MATCH("Checker"&amp;"Comp",L!$A:$A,0)-1,SL,,)</f>
        <v>Complete</v>
      </c>
      <c r="J62" s="22" t="str">
        <f ca="1">OFFSET(L!$C$1,MATCH("Checker"&amp;ADDRESS(ROW(),COLUMN(),4),L!$A:$A,0)-1,SL,,)</f>
        <v>Provide list of tantalum smelters contributing material to supply chain on Smelter List tab</v>
      </c>
      <c r="K62" s="196">
        <f>IF(H15+H20&gt;0,1,0)</f>
        <v>1</v>
      </c>
      <c r="L62" s="22" t="str">
        <f ca="1">OFFSET(L!$C$1,MATCH("Checker"&amp;ADDRESS(ROW(),COLUMN(),4),L!$A:$A,0)-1,SL,,)</f>
        <v>Please answer Question 1 / Question 2 on Declaration tab</v>
      </c>
    </row>
    <row r="63" spans="1:12" ht="39">
      <c r="A63" s="106" t="s">
        <v>2170</v>
      </c>
      <c r="B63" s="106"/>
      <c r="C63" s="106" t="str">
        <f ca="1">IF(K63=1,L63,IF(B16="No","Not Required",IF(G63=0,I63,J63)))</f>
        <v>Please answer Question 1 / Question 2 on Declaration tab</v>
      </c>
      <c r="D63" s="112" t="str">
        <f>IF(H63=0,"","Click here to provide smelter information")</f>
        <v>Click here to provide smelter information</v>
      </c>
      <c r="E63" s="88" t="s">
        <v>930</v>
      </c>
      <c r="F63" s="111">
        <f>F26</f>
        <v>1</v>
      </c>
      <c r="G63" s="85">
        <f>IF(AND(COUNTIF(SmelterIdetifiedForMetal,"Tin")&gt;0,COUNTIF('Smelter List'!AB$5:AB$2493,"Tin?*")&gt;0),0,1)</f>
        <v>1</v>
      </c>
      <c r="H63" s="86">
        <f t="shared" si="6"/>
        <v>1</v>
      </c>
      <c r="I63" s="189" t="str">
        <f ca="1">OFFSET(L!$C$1,MATCH("Checker"&amp;"Comp",L!$A:$A,0)-1,SL,,)</f>
        <v>Complete</v>
      </c>
      <c r="J63" s="22" t="str">
        <f ca="1">OFFSET(L!$C$1,MATCH("Checker"&amp;ADDRESS(ROW(),COLUMN(),4),L!$A:$A,0)-1,SL,,)</f>
        <v>Provide list of tin smelters contributing material to supply chain on Smelter List tab</v>
      </c>
      <c r="K63" s="196">
        <f>IF(H16+H21&gt;0,1,0)</f>
        <v>1</v>
      </c>
      <c r="L63" s="22" t="str">
        <f ca="1">OFFSET(L!$C$1,MATCH("Checker"&amp;ADDRESS(ROW(),COLUMN(),4),L!$A:$A,0)-1,SL,,)</f>
        <v>Please answer Question 1 / Question 2 on Declaration tab</v>
      </c>
    </row>
    <row r="64" spans="1:12" ht="39">
      <c r="A64" s="106" t="s">
        <v>2171</v>
      </c>
      <c r="B64" s="106"/>
      <c r="C64" s="106" t="str">
        <f ca="1">IF(K64=1,L64,IF(B17="No","Not Required",IF(G64=0,I64,J64)))</f>
        <v>Please answer Question 1 / Question 2 on Declaration tab</v>
      </c>
      <c r="D64" s="112" t="str">
        <f>IF(H64=0,"","Click here to provide smelter information")</f>
        <v>Click here to provide smelter information</v>
      </c>
      <c r="E64" s="88" t="s">
        <v>930</v>
      </c>
      <c r="F64" s="111">
        <f>F27</f>
        <v>1</v>
      </c>
      <c r="G64" s="85">
        <f>IF(AND(COUNTIF(SmelterIdetifiedForMetal,"Gold")&gt;0,COUNTIF('Smelter List'!AB$5:AB$2493,"Gold?*")&gt;0),0,1)</f>
        <v>1</v>
      </c>
      <c r="H64" s="86">
        <f t="shared" si="6"/>
        <v>1</v>
      </c>
      <c r="I64" s="189" t="str">
        <f ca="1">OFFSET(L!$C$1,MATCH("Checker"&amp;"Comp",L!$A:$A,0)-1,SL,,)</f>
        <v>Complete</v>
      </c>
      <c r="J64" s="22" t="str">
        <f ca="1">OFFSET(L!$C$1,MATCH("Checker"&amp;ADDRESS(ROW(),COLUMN(),4),L!$A:$A,0)-1,SL,,)</f>
        <v>Provide list of gold smelters contributing material to supply chain on Smelter List tab</v>
      </c>
      <c r="K64" s="196">
        <f>IF(H17+H22&gt;0,1,0)</f>
        <v>1</v>
      </c>
      <c r="L64" s="22" t="str">
        <f ca="1">OFFSET(L!$C$1,MATCH("Checker"&amp;ADDRESS(ROW(),COLUMN(),4),L!$A:$A,0)-1,SL,,)</f>
        <v>Please answer Question 1 / Question 2 on Declaration tab</v>
      </c>
    </row>
    <row r="65" spans="1:12" ht="39">
      <c r="A65" s="106" t="s">
        <v>2172</v>
      </c>
      <c r="B65" s="106"/>
      <c r="C65" s="106" t="str">
        <f ca="1">IF(K65=1,L65,IF(B18="No","Not Required",IF(G65=0,I65,J65)))</f>
        <v>Please answer Question 1 / Question 2 on Declaration tab</v>
      </c>
      <c r="D65" s="112" t="str">
        <f>IF(H65=0,"","Click here to provide smelter information")</f>
        <v>Click here to provide smelter information</v>
      </c>
      <c r="E65" s="88" t="s">
        <v>930</v>
      </c>
      <c r="F65" s="111">
        <f>F28</f>
        <v>1</v>
      </c>
      <c r="G65" s="85">
        <f>IF(AND(COUNTIF(SmelterIdetifiedForMetal,"Tungsten")&gt;0,COUNTIF('Smelter List'!AB$5:AB$2493,"Tungsten?*")&gt;0),0,1)</f>
        <v>1</v>
      </c>
      <c r="H65" s="86">
        <f t="shared" si="6"/>
        <v>1</v>
      </c>
      <c r="I65" s="189" t="str">
        <f ca="1">OFFSET(L!$C$1,MATCH("Checker"&amp;"Comp",L!$A:$A,0)-1,SL,,)</f>
        <v>Complete</v>
      </c>
      <c r="J65" s="22" t="str">
        <f ca="1">OFFSET(L!$C$1,MATCH("Checker"&amp;ADDRESS(ROW(),COLUMN(),4),L!$A:$A,0)-1,SL,,)</f>
        <v>Provide list of tungsten smelters contributing material to supply chain on Smelter List tab</v>
      </c>
      <c r="K65" s="196">
        <f>IF(H18+H23&gt;0,1,0)</f>
        <v>1</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50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Joe Strunk</cp:lastModifiedBy>
  <cp:lastPrinted>2015-04-21T20:47:43Z</cp:lastPrinted>
  <dcterms:created xsi:type="dcterms:W3CDTF">2010-06-21T21:00:23Z</dcterms:created>
  <dcterms:modified xsi:type="dcterms:W3CDTF">2018-09-10T16:25:50Z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